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" sheetId="7" r:id="rId7"/>
  </sheets>
  <definedNames>
    <definedName name="_xlnm.Print_Area" localSheetId="6">'січень'!$A$1:$R$87</definedName>
  </definedNames>
  <calcPr fullCalcOnLoad="1"/>
</workbook>
</file>

<file path=xl/sharedStrings.xml><?xml version="1.0" encoding="utf-8"?>
<sst xmlns="http://schemas.openxmlformats.org/spreadsheetml/2006/main" count="891" uniqueCount="178">
  <si>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</si>
  <si>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</si>
  <si>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</si>
  <si>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</si>
  <si>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</si>
  <si>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</si>
  <si>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</si>
  <si>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</si>
  <si>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</si>
  <si>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</si>
  <si>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</si>
  <si>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</si>
  <si>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</si>
  <si>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</si>
  <si>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</si>
  <si>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</si>
  <si>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</si>
  <si>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</si>
  <si>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</si>
  <si>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</si>
  <si>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</si>
  <si>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</si>
  <si>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</si>
  <si>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</si>
  <si>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</si>
  <si>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</si>
  <si>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</si>
  <si>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</si>
  <si>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</si>
  <si>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</si>
  <si>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</si>
  <si>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</si>
  <si>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</si>
  <si>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</si>
  <si>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</si>
  <si>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</si>
  <si>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</si>
  <si>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</si>
  <si>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</si>
  <si>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</si>
  <si>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</si>
  <si>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</si>
  <si>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</si>
  <si>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</si>
  <si>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</si>
  <si>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</si>
  <si>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</si>
  <si>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</si>
  <si>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</si>
  <si>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</si>
  <si>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</si>
  <si>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</si>
  <si>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</si>
  <si>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</si>
  <si>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</si>
  <si>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</si>
  <si>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</si>
  <si>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</si>
  <si>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</si>
  <si>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</si>
  <si>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</si>
  <si>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</si>
  <si>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</si>
  <si>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</si>
  <si>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</si>
  <si>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</si>
  <si>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</si>
  <si>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</si>
  <si>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</si>
  <si>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</si>
  <si>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</si>
  <si>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</si>
  <si>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</si>
  <si>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</si>
  <si>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</si>
  <si>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</si>
  <si>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</si>
  <si>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</si>
  <si>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</si>
  <si>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</si>
  <si>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</si>
  <si>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</si>
  <si>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</si>
  <si>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</si>
  <si>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</si>
  <si>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</si>
  <si>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</si>
  <si>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</si>
  <si>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</si>
  <si>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</si>
  <si>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</si>
  <si>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</si>
  <si>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</si>
  <si>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</si>
  <si>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</si>
  <si>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</si>
  <si>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</si>
  <si>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</si>
  <si>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</si>
  <si>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</si>
  <si>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</si>
  <si>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</si>
  <si>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</si>
  <si>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</si>
  <si>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</si>
  <si>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</si>
  <si>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</si>
  <si>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</si>
  <si>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</si>
  <si>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</si>
  <si>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</si>
  <si>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</si>
  <si>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</si>
  <si>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</si>
  <si>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</si>
  <si>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</si>
  <si>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</si>
  <si>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</si>
  <si>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</si>
  <si>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</si>
  <si>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</si>
  <si>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</si>
  <si>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</si>
  <si>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</si>
  <si>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</si>
  <si>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</si>
  <si>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</si>
  <si>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</si>
  <si>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</si>
  <si>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</si>
  <si>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</si>
  <si>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</si>
  <si>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</si>
  <si>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</si>
  <si>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</si>
  <si>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</si>
  <si>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</si>
  <si>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</si>
  <si>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</si>
  <si>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</si>
  <si>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</si>
  <si>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</si>
  <si>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</si>
  <si>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</si>
  <si>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</si>
  <si>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</si>
  <si>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</si>
  <si>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</si>
  <si>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</si>
  <si>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</si>
  <si>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</si>
  <si>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</si>
  <si>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</si>
  <si>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</si>
  <si>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</si>
  <si>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</si>
  <si>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</si>
  <si>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</si>
  <si>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</si>
  <si>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</si>
  <si>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</si>
  <si>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</si>
  <si>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</si>
  <si>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</si>
  <si>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</si>
  <si>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</si>
  <si>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</si>
  <si>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</si>
  <si>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</si>
  <si>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</si>
  <si>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</si>
  <si>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</si>
  <si>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</si>
  <si>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</si>
  <si>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</si>
  <si>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</si>
  <si>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22.06.16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</si>
  <si>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24.06.2016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</si>
</sst>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1" zoomScaleNormal="81" zoomScalePageLayoutView="0" workbookViewId="0" topLeftCell="B1">
      <pane xSplit="2" ySplit="8" topLeftCell="D8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177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71"/>
      <c r="C2" s="271"/>
      <c r="D2" s="27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172</v>
      </c>
      <c r="N3" s="281" t="s">
        <v>173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170</v>
      </c>
      <c r="F4" s="264" t="s">
        <v>34</v>
      </c>
      <c r="G4" s="258" t="s">
        <v>171</v>
      </c>
      <c r="H4" s="266" t="s">
        <v>175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176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65"/>
      <c r="G5" s="259"/>
      <c r="H5" s="267"/>
      <c r="I5" s="259"/>
      <c r="J5" s="267"/>
      <c r="K5" s="261" t="s">
        <v>174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191">
        <f>F9+F15+F18+F19+F20+F36+F17</f>
        <v>420403.42</v>
      </c>
      <c r="G8" s="191">
        <f aca="true" t="shared" si="0" ref="G8:G36">F8-E8</f>
        <v>167.64000000001397</v>
      </c>
      <c r="H8" s="192">
        <f>F8/E8*100</f>
        <v>100.03989189116645</v>
      </c>
      <c r="I8" s="193">
        <f>F8-D8</f>
        <v>-420646.58</v>
      </c>
      <c r="J8" s="193">
        <f>F8/D8*100</f>
        <v>49.985544260151</v>
      </c>
      <c r="K8" s="191">
        <f>F8-305119.12</f>
        <v>115284.29999999999</v>
      </c>
      <c r="L8" s="191">
        <f>F8/305119.12*100</f>
        <v>137.78337457187212</v>
      </c>
      <c r="M8" s="191">
        <f>M9+M15+M18+M19+M20+M17</f>
        <v>67799.29999999999</v>
      </c>
      <c r="N8" s="191">
        <f>N9+N15+N18+N19+N20+N17</f>
        <v>45408.47</v>
      </c>
      <c r="O8" s="191">
        <f>N8-M8</f>
        <v>-22390.829999999987</v>
      </c>
      <c r="P8" s="191">
        <f>N8/M8*100</f>
        <v>66.97483602338079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6">
        <v>233531.38</v>
      </c>
      <c r="G9" s="190">
        <f t="shared" si="0"/>
        <v>9627.110000000015</v>
      </c>
      <c r="H9" s="197">
        <f>F9/E9*100</f>
        <v>104.29965449073393</v>
      </c>
      <c r="I9" s="198">
        <f>F9-D9</f>
        <v>-226168.62</v>
      </c>
      <c r="J9" s="198">
        <f>F9/D9*100</f>
        <v>50.800822275396996</v>
      </c>
      <c r="K9" s="199">
        <f>F9-171379.72</f>
        <v>62151.66</v>
      </c>
      <c r="L9" s="199">
        <f>F9/171379.72*100</f>
        <v>136.26546944994425</v>
      </c>
      <c r="M9" s="197">
        <f>E9-травень!E9</f>
        <v>41002</v>
      </c>
      <c r="N9" s="200">
        <f>F9-травень!F9</f>
        <v>34430.45999999999</v>
      </c>
      <c r="O9" s="201">
        <f>N9-M9</f>
        <v>-6571.540000000008</v>
      </c>
      <c r="P9" s="198">
        <f>N9/M9*100</f>
        <v>83.97263548119602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71">
        <v>205448.63</v>
      </c>
      <c r="G10" s="109">
        <f t="shared" si="0"/>
        <v>6152.790000000008</v>
      </c>
      <c r="H10" s="32">
        <f aca="true" t="shared" si="1" ref="H10:H35">F10/E10*100</f>
        <v>103.08726464134928</v>
      </c>
      <c r="I10" s="110">
        <f aca="true" t="shared" si="2" ref="I10:I36">F10-D10</f>
        <v>-205991.37</v>
      </c>
      <c r="J10" s="110">
        <f aca="true" t="shared" si="3" ref="J10:J35">F10/D10*100</f>
        <v>49.93404384600428</v>
      </c>
      <c r="K10" s="112">
        <f>F10-152226.9</f>
        <v>53221.73000000001</v>
      </c>
      <c r="L10" s="112">
        <f>F10/152226.9*100</f>
        <v>134.96210590900822</v>
      </c>
      <c r="M10" s="111">
        <f>E10-травень!E10</f>
        <v>37450</v>
      </c>
      <c r="N10" s="179">
        <f>F10-травень!F10</f>
        <v>31280.300000000017</v>
      </c>
      <c r="O10" s="112">
        <f aca="true" t="shared" si="4" ref="O10:O36">N10-M10</f>
        <v>-6169.6999999999825</v>
      </c>
      <c r="P10" s="198">
        <f aca="true" t="shared" si="5" ref="P10:P16">N10/M10*100</f>
        <v>83.52550066755678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71">
        <v>16354.1</v>
      </c>
      <c r="G11" s="109">
        <f t="shared" si="0"/>
        <v>2189.16</v>
      </c>
      <c r="H11" s="32">
        <f t="shared" si="1"/>
        <v>115.45477778232735</v>
      </c>
      <c r="I11" s="110">
        <f t="shared" si="2"/>
        <v>-6645.9</v>
      </c>
      <c r="J11" s="110">
        <f t="shared" si="3"/>
        <v>71.10478260869564</v>
      </c>
      <c r="K11" s="112">
        <f>F11-9213.1</f>
        <v>7141</v>
      </c>
      <c r="L11" s="112">
        <f>F11/9213.1*100</f>
        <v>177.50919885814764</v>
      </c>
      <c r="M11" s="111">
        <f>E11-травень!E11</f>
        <v>1600</v>
      </c>
      <c r="N11" s="179">
        <f>F11-травень!F11</f>
        <v>1674.8500000000004</v>
      </c>
      <c r="O11" s="112">
        <f t="shared" si="4"/>
        <v>74.85000000000036</v>
      </c>
      <c r="P11" s="198">
        <f t="shared" si="5"/>
        <v>104.67812500000002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71">
        <v>5072.81</v>
      </c>
      <c r="G12" s="109">
        <f t="shared" si="0"/>
        <v>2352.2000000000003</v>
      </c>
      <c r="H12" s="32">
        <f t="shared" si="1"/>
        <v>186.45855157483064</v>
      </c>
      <c r="I12" s="110">
        <f t="shared" si="2"/>
        <v>-1427.1899999999996</v>
      </c>
      <c r="J12" s="110">
        <f t="shared" si="3"/>
        <v>78.04323076923077</v>
      </c>
      <c r="K12" s="112">
        <f>F12-2592.53</f>
        <v>2480.28</v>
      </c>
      <c r="L12" s="112">
        <f>F12/2592.53*100</f>
        <v>195.67025261038444</v>
      </c>
      <c r="M12" s="111">
        <f>E12-травень!E12</f>
        <v>500</v>
      </c>
      <c r="N12" s="179">
        <f>F12-травень!F12</f>
        <v>489.58000000000084</v>
      </c>
      <c r="O12" s="112">
        <f t="shared" si="4"/>
        <v>-10.419999999999163</v>
      </c>
      <c r="P12" s="198">
        <f t="shared" si="5"/>
        <v>97.91600000000017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71">
        <v>4255.24</v>
      </c>
      <c r="G13" s="109">
        <f t="shared" si="0"/>
        <v>-329.60000000000036</v>
      </c>
      <c r="H13" s="32">
        <f t="shared" si="1"/>
        <v>92.81109046335312</v>
      </c>
      <c r="I13" s="110">
        <f t="shared" si="2"/>
        <v>-8144.76</v>
      </c>
      <c r="J13" s="110">
        <f t="shared" si="3"/>
        <v>34.31645161290323</v>
      </c>
      <c r="K13" s="112">
        <f>F13-2783.41</f>
        <v>1471.83</v>
      </c>
      <c r="L13" s="112">
        <f>F13/2783.41*100</f>
        <v>152.87866322245017</v>
      </c>
      <c r="M13" s="111">
        <f>E13-травень!E13</f>
        <v>820</v>
      </c>
      <c r="N13" s="179">
        <f>F13-травень!F13</f>
        <v>491.7999999999997</v>
      </c>
      <c r="O13" s="112">
        <f t="shared" si="4"/>
        <v>-328.2000000000003</v>
      </c>
      <c r="P13" s="198">
        <f t="shared" si="5"/>
        <v>59.975609756097526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7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6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6">
        <v>36811.5</v>
      </c>
      <c r="G19" s="190">
        <f t="shared" si="0"/>
        <v>-11048.900000000001</v>
      </c>
      <c r="H19" s="197">
        <f t="shared" si="1"/>
        <v>76.91431747331822</v>
      </c>
      <c r="I19" s="198">
        <f t="shared" si="2"/>
        <v>-73088.5</v>
      </c>
      <c r="J19" s="198">
        <f t="shared" si="3"/>
        <v>33.495450409463146</v>
      </c>
      <c r="K19" s="209">
        <f>F19-30116.49</f>
        <v>6695.009999999998</v>
      </c>
      <c r="L19" s="209">
        <f>F19/30116.49*100</f>
        <v>122.2303794366475</v>
      </c>
      <c r="M19" s="197">
        <f>E19-травень!E19</f>
        <v>9800</v>
      </c>
      <c r="N19" s="200">
        <f>F19-травень!F19</f>
        <v>1580.9400000000023</v>
      </c>
      <c r="O19" s="201">
        <f t="shared" si="4"/>
        <v>-8219.059999999998</v>
      </c>
      <c r="P19" s="198">
        <f aca="true" t="shared" si="6" ref="P19:P24">N19/M19*100</f>
        <v>16.132040816326555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10">
        <f>F21+F29+F31+F30</f>
        <v>149645.33</v>
      </c>
      <c r="G20" s="190">
        <f t="shared" si="0"/>
        <v>1424.2200000000012</v>
      </c>
      <c r="H20" s="197">
        <f t="shared" si="1"/>
        <v>100.96087527613307</v>
      </c>
      <c r="I20" s="198">
        <f t="shared" si="2"/>
        <v>-121294.67000000001</v>
      </c>
      <c r="J20" s="198">
        <f t="shared" si="3"/>
        <v>55.23190743338008</v>
      </c>
      <c r="K20" s="198">
        <f>F20-100444.36</f>
        <v>49200.96999999999</v>
      </c>
      <c r="L20" s="198">
        <f>F20/100444.36*100</f>
        <v>148.9833077735773</v>
      </c>
      <c r="M20" s="197">
        <f>M21+M29+M30+M31</f>
        <v>16992.299999999985</v>
      </c>
      <c r="N20" s="200">
        <f>F20-травень!F20</f>
        <v>9397.070000000007</v>
      </c>
      <c r="O20" s="201">
        <f t="shared" si="4"/>
        <v>-7595.229999999978</v>
      </c>
      <c r="P20" s="198">
        <f t="shared" si="6"/>
        <v>55.30193087457269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211">
        <f>F22+F25+F26</f>
        <v>77265.19</v>
      </c>
      <c r="G21" s="190">
        <f t="shared" si="0"/>
        <v>-878.1699999999983</v>
      </c>
      <c r="H21" s="197">
        <f t="shared" si="1"/>
        <v>98.87620650046274</v>
      </c>
      <c r="I21" s="198">
        <f t="shared" si="2"/>
        <v>-84134.81</v>
      </c>
      <c r="J21" s="198">
        <f t="shared" si="3"/>
        <v>47.871864931846346</v>
      </c>
      <c r="K21" s="198">
        <f>F21-54757.32</f>
        <v>22507.870000000003</v>
      </c>
      <c r="L21" s="198">
        <f>F21/54757.32*100</f>
        <v>141.10476918884999</v>
      </c>
      <c r="M21" s="197">
        <f>M22+M25+M26</f>
        <v>13047.099999999999</v>
      </c>
      <c r="N21" s="200">
        <f>F21-травень!F21</f>
        <v>5725.050000000003</v>
      </c>
      <c r="O21" s="201">
        <f t="shared" si="4"/>
        <v>-7322.049999999996</v>
      </c>
      <c r="P21" s="198">
        <f t="shared" si="6"/>
        <v>43.8798660238674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3">
        <v>9072.04</v>
      </c>
      <c r="G22" s="212">
        <f t="shared" si="0"/>
        <v>460.4400000000005</v>
      </c>
      <c r="H22" s="214">
        <f t="shared" si="1"/>
        <v>105.34674160434763</v>
      </c>
      <c r="I22" s="215">
        <f t="shared" si="2"/>
        <v>-9427.96</v>
      </c>
      <c r="J22" s="215">
        <f t="shared" si="3"/>
        <v>49.03805405405406</v>
      </c>
      <c r="K22" s="216">
        <f>F22-4957.1</f>
        <v>4114.9400000000005</v>
      </c>
      <c r="L22" s="216">
        <f>F22/4957.1*100</f>
        <v>183.01103467753325</v>
      </c>
      <c r="M22" s="214">
        <f>E22-травень!E22</f>
        <v>240</v>
      </c>
      <c r="N22" s="217">
        <f>F22-травень!F22</f>
        <v>431.89000000000124</v>
      </c>
      <c r="O22" s="218">
        <f t="shared" si="4"/>
        <v>191.89000000000124</v>
      </c>
      <c r="P22" s="215">
        <f t="shared" si="6"/>
        <v>179.9541666666672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3">
        <v>330.7</v>
      </c>
      <c r="G23" s="241">
        <f t="shared" si="0"/>
        <v>-58.400000000000034</v>
      </c>
      <c r="H23" s="242">
        <f t="shared" si="1"/>
        <v>84.99100488306347</v>
      </c>
      <c r="I23" s="243">
        <f t="shared" si="2"/>
        <v>-1669.3</v>
      </c>
      <c r="J23" s="243">
        <f t="shared" si="3"/>
        <v>16.535</v>
      </c>
      <c r="K23" s="244">
        <f>F23-284.18</f>
        <v>46.51999999999998</v>
      </c>
      <c r="L23" s="244">
        <f>F23/284.18*100</f>
        <v>116.36990639735379</v>
      </c>
      <c r="M23" s="239">
        <f>E23-травень!E23</f>
        <v>40</v>
      </c>
      <c r="N23" s="239">
        <f>F23-травень!F23</f>
        <v>67.05000000000001</v>
      </c>
      <c r="O23" s="240">
        <f t="shared" si="4"/>
        <v>27.05000000000001</v>
      </c>
      <c r="P23" s="240">
        <f t="shared" si="6"/>
        <v>167.62500000000003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3">
        <v>8741.34</v>
      </c>
      <c r="G24" s="241">
        <f t="shared" si="0"/>
        <v>518.8400000000001</v>
      </c>
      <c r="H24" s="242">
        <f t="shared" si="1"/>
        <v>106.31000304043783</v>
      </c>
      <c r="I24" s="243">
        <f t="shared" si="2"/>
        <v>-7758.66</v>
      </c>
      <c r="J24" s="243">
        <f t="shared" si="3"/>
        <v>52.97781818181818</v>
      </c>
      <c r="K24" s="244">
        <f>F24-4672.92</f>
        <v>4068.42</v>
      </c>
      <c r="L24" s="244">
        <f>F24/4672.92*100</f>
        <v>187.06376312883592</v>
      </c>
      <c r="M24" s="239">
        <f>E24-травень!E24</f>
        <v>200</v>
      </c>
      <c r="N24" s="239">
        <f>F24-травень!F24</f>
        <v>364.84000000000015</v>
      </c>
      <c r="O24" s="240">
        <f t="shared" si="4"/>
        <v>164.84000000000015</v>
      </c>
      <c r="P24" s="240">
        <f t="shared" si="6"/>
        <v>182.42000000000007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3">
        <v>67758.1</v>
      </c>
      <c r="G26" s="212">
        <f t="shared" si="0"/>
        <v>-1496.8199999999924</v>
      </c>
      <c r="H26" s="214">
        <f t="shared" si="1"/>
        <v>97.83868063092125</v>
      </c>
      <c r="I26" s="215">
        <f t="shared" si="2"/>
        <v>-72341.9</v>
      </c>
      <c r="J26" s="215">
        <f t="shared" si="3"/>
        <v>48.36409707351892</v>
      </c>
      <c r="K26" s="216">
        <f>F26-49589.53</f>
        <v>18168.570000000007</v>
      </c>
      <c r="L26" s="216">
        <f>F26/49589.53*100</f>
        <v>136.63791530187925</v>
      </c>
      <c r="M26" s="214">
        <f>E26-травень!E26</f>
        <v>12807.099999999999</v>
      </c>
      <c r="N26" s="217">
        <f>F26-травень!F26</f>
        <v>5278.190000000002</v>
      </c>
      <c r="O26" s="218">
        <f t="shared" si="4"/>
        <v>-7528.909999999996</v>
      </c>
      <c r="P26" s="215">
        <f>N26/M26*100</f>
        <v>41.212999039595246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3">
        <v>20629.22</v>
      </c>
      <c r="G27" s="241">
        <f t="shared" si="0"/>
        <v>1199.4700000000012</v>
      </c>
      <c r="H27" s="242">
        <f t="shared" si="1"/>
        <v>106.17336815965209</v>
      </c>
      <c r="I27" s="243">
        <f t="shared" si="2"/>
        <v>-17427.78</v>
      </c>
      <c r="J27" s="243">
        <f t="shared" si="3"/>
        <v>54.20611188480437</v>
      </c>
      <c r="K27" s="244">
        <f>F27-12926</f>
        <v>7703.220000000001</v>
      </c>
      <c r="L27" s="244">
        <f>F27/12926*100</f>
        <v>159.5947702305431</v>
      </c>
      <c r="M27" s="239">
        <f>E27-12724.05</f>
        <v>6705.700000000001</v>
      </c>
      <c r="N27" s="239">
        <f>F27-15205.9</f>
        <v>5423.3200000000015</v>
      </c>
      <c r="O27" s="240">
        <f t="shared" si="4"/>
        <v>-1282.3799999999992</v>
      </c>
      <c r="P27" s="240">
        <f>N27/M27*100</f>
        <v>80.87626944241467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3">
        <v>47128.89</v>
      </c>
      <c r="G28" s="241">
        <f t="shared" si="0"/>
        <v>-2696.279999999999</v>
      </c>
      <c r="H28" s="242">
        <f t="shared" si="1"/>
        <v>94.58851821278283</v>
      </c>
      <c r="I28" s="243">
        <f t="shared" si="2"/>
        <v>37085.89</v>
      </c>
      <c r="J28" s="243">
        <f t="shared" si="3"/>
        <v>469.27103455142884</v>
      </c>
      <c r="K28" s="244">
        <f>F28-36663.53</f>
        <v>10465.36</v>
      </c>
      <c r="L28" s="244">
        <f>F28/36663.53*100</f>
        <v>128.54433274701046</v>
      </c>
      <c r="M28" s="239">
        <f>E28-32053.77</f>
        <v>17771.399999999998</v>
      </c>
      <c r="N28" s="239">
        <f>F28-34030.56</f>
        <v>13098.330000000002</v>
      </c>
      <c r="O28" s="240">
        <f t="shared" si="4"/>
        <v>-4673.069999999996</v>
      </c>
      <c r="P28" s="240">
        <f>N28/M28*100</f>
        <v>73.70454775650767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6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3">
        <v>72449.56</v>
      </c>
      <c r="G31" s="202">
        <f t="shared" si="0"/>
        <v>2407.520000000004</v>
      </c>
      <c r="H31" s="204">
        <f t="shared" si="1"/>
        <v>103.4372499715885</v>
      </c>
      <c r="I31" s="205">
        <f t="shared" si="2"/>
        <v>-37013.44</v>
      </c>
      <c r="J31" s="205">
        <f t="shared" si="3"/>
        <v>66.18634607127522</v>
      </c>
      <c r="K31" s="219">
        <f>F31-46052.97</f>
        <v>26396.589999999997</v>
      </c>
      <c r="L31" s="219">
        <f>F31/46052.97*100</f>
        <v>157.31788850968786</v>
      </c>
      <c r="M31" s="197">
        <f>E31-травень!E31</f>
        <v>3939.9999999999854</v>
      </c>
      <c r="N31" s="200">
        <f>F31-травень!F31</f>
        <v>3682.8600000000006</v>
      </c>
      <c r="O31" s="207">
        <f t="shared" si="4"/>
        <v>-257.13999999998487</v>
      </c>
      <c r="P31" s="205">
        <f>N31/M31*100</f>
        <v>93.47360406091406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71">
        <v>18135.53</v>
      </c>
      <c r="G33" s="109">
        <f t="shared" si="0"/>
        <v>439.5599999999977</v>
      </c>
      <c r="H33" s="111">
        <f t="shared" si="1"/>
        <v>102.48395538645238</v>
      </c>
      <c r="I33" s="110">
        <f t="shared" si="2"/>
        <v>-9464.470000000001</v>
      </c>
      <c r="J33" s="110">
        <f t="shared" si="3"/>
        <v>65.7084420289855</v>
      </c>
      <c r="K33" s="142">
        <f>F33-11423.16</f>
        <v>6712.369999999999</v>
      </c>
      <c r="L33" s="142">
        <f>F33/11423.16*100</f>
        <v>158.7610608623183</v>
      </c>
      <c r="M33" s="111">
        <f>E33-травень!E33</f>
        <v>940</v>
      </c>
      <c r="N33" s="179">
        <f>F33-травень!F33</f>
        <v>583.4699999999975</v>
      </c>
      <c r="O33" s="112">
        <f t="shared" si="4"/>
        <v>-356.5300000000025</v>
      </c>
      <c r="P33" s="110">
        <f>N33/M33*100</f>
        <v>62.071276595744415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71">
        <v>54161.79</v>
      </c>
      <c r="G34" s="109">
        <f t="shared" si="0"/>
        <v>1825.7099999999991</v>
      </c>
      <c r="H34" s="111">
        <f t="shared" si="1"/>
        <v>103.488434747119</v>
      </c>
      <c r="I34" s="110">
        <f t="shared" si="2"/>
        <v>-27650.21</v>
      </c>
      <c r="J34" s="110">
        <f t="shared" si="3"/>
        <v>66.20274531853518</v>
      </c>
      <c r="K34" s="142">
        <f>F34-34622.85</f>
        <v>19538.940000000002</v>
      </c>
      <c r="L34" s="142">
        <f>F34/34622.85*100</f>
        <v>156.4336558082307</v>
      </c>
      <c r="M34" s="111">
        <f>E34-травень!E34</f>
        <v>3000</v>
      </c>
      <c r="N34" s="179">
        <f>F34-травень!F34</f>
        <v>2961.3300000000017</v>
      </c>
      <c r="O34" s="112">
        <f t="shared" si="4"/>
        <v>-38.669999999998254</v>
      </c>
      <c r="P34" s="110">
        <f>N34/M34*100</f>
        <v>98.71100000000006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191">
        <f>F38+F39+F40+F41+F42+F44+F46+F47+F48+F49+F50+F55+F56+F60+F43</f>
        <v>28861.109999999997</v>
      </c>
      <c r="G37" s="191">
        <f>G38+G39+G40+G41+G42+G44+G46+G47+G48+G49+G50+G55+G56+G60</f>
        <v>7356.280000000001</v>
      </c>
      <c r="H37" s="192">
        <f>F37/E37*100</f>
        <v>134.25002197875807</v>
      </c>
      <c r="I37" s="193">
        <f>F37-D37</f>
        <v>-13958.890000000003</v>
      </c>
      <c r="J37" s="193">
        <f>F37/D37*100</f>
        <v>67.40100420364315</v>
      </c>
      <c r="K37" s="191">
        <f>F37-15873</f>
        <v>12988.109999999997</v>
      </c>
      <c r="L37" s="191">
        <f>F37/15873*100</f>
        <v>181.8251748251748</v>
      </c>
      <c r="M37" s="191">
        <f>M38+M39+M40+M41+M42+M44+M46+M47+M48+M49+M50+M55+M56+M60</f>
        <v>3691.0000000000005</v>
      </c>
      <c r="N37" s="191">
        <f>N38+N39+N40+N41+N42+N44+N46+N47+N48+N49+N50+N55+N56+N60+N43</f>
        <v>6020.6900000000005</v>
      </c>
      <c r="O37" s="191">
        <f>O38+O39+O40+O41+O42+O44+O46+O47+O48+O49+O50+O55+O56+O60</f>
        <v>2329.69</v>
      </c>
      <c r="P37" s="191">
        <f>N37/M37*100</f>
        <v>163.1181251693308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6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6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6">
        <v>27.79</v>
      </c>
      <c r="G40" s="202">
        <f t="shared" si="9"/>
        <v>-83.65</v>
      </c>
      <c r="H40" s="204">
        <f t="shared" si="7"/>
        <v>24.937185929648244</v>
      </c>
      <c r="I40" s="205">
        <f t="shared" si="10"/>
        <v>-372.21</v>
      </c>
      <c r="J40" s="205">
        <f aca="true" t="shared" si="12" ref="J40:J61">F40/D40*100</f>
        <v>6.9475</v>
      </c>
      <c r="K40" s="205">
        <f>F40-188.18</f>
        <v>-160.39000000000001</v>
      </c>
      <c r="L40" s="205">
        <f>F40/188.18*100</f>
        <v>14.76777553406313</v>
      </c>
      <c r="M40" s="204">
        <f>E40-травень!E40</f>
        <v>20</v>
      </c>
      <c r="N40" s="208">
        <f>F40-травень!F40</f>
        <v>0.2799999999999976</v>
      </c>
      <c r="O40" s="207">
        <f t="shared" si="11"/>
        <v>-19.720000000000002</v>
      </c>
      <c r="P40" s="205">
        <f t="shared" si="8"/>
        <v>1.399999999999988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6">
        <v>57.91</v>
      </c>
      <c r="G42" s="202">
        <f t="shared" si="9"/>
        <v>-2.0900000000000034</v>
      </c>
      <c r="H42" s="204">
        <f t="shared" si="7"/>
        <v>96.51666666666667</v>
      </c>
      <c r="I42" s="205">
        <f t="shared" si="10"/>
        <v>-92.09</v>
      </c>
      <c r="J42" s="205">
        <f t="shared" si="12"/>
        <v>38.60666666666667</v>
      </c>
      <c r="K42" s="205">
        <f>F42-81.62</f>
        <v>-23.710000000000008</v>
      </c>
      <c r="L42" s="205">
        <f>F42/81.62*100</f>
        <v>70.95074736584169</v>
      </c>
      <c r="M42" s="204">
        <f>E42-травень!E42</f>
        <v>10</v>
      </c>
      <c r="N42" s="208">
        <f>F42-травень!F42</f>
        <v>7.509999999999998</v>
      </c>
      <c r="O42" s="207">
        <f t="shared" si="11"/>
        <v>-2.490000000000002</v>
      </c>
      <c r="P42" s="205">
        <f t="shared" si="8"/>
        <v>75.09999999999998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6.8</v>
      </c>
      <c r="G43" s="202">
        <f t="shared" si="9"/>
        <v>6.8</v>
      </c>
      <c r="H43" s="204"/>
      <c r="I43" s="205">
        <f t="shared" si="10"/>
        <v>6.8</v>
      </c>
      <c r="J43" s="205"/>
      <c r="K43" s="205">
        <f>F43-2.5</f>
        <v>4.3</v>
      </c>
      <c r="L43" s="205">
        <f>F43/2.5*100</f>
        <v>272</v>
      </c>
      <c r="M43" s="204">
        <f>E43-травень!E43</f>
        <v>0</v>
      </c>
      <c r="N43" s="208">
        <f>F43-травень!F43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40</v>
      </c>
      <c r="F44" s="196">
        <v>154.55</v>
      </c>
      <c r="G44" s="202">
        <f t="shared" si="9"/>
        <v>114.55000000000001</v>
      </c>
      <c r="H44" s="204">
        <f t="shared" si="7"/>
        <v>386.37500000000006</v>
      </c>
      <c r="I44" s="205">
        <f t="shared" si="10"/>
        <v>64.55000000000001</v>
      </c>
      <c r="J44" s="205">
        <f t="shared" si="12"/>
        <v>171.72222222222223</v>
      </c>
      <c r="K44" s="205">
        <f>F44-0</f>
        <v>154.55</v>
      </c>
      <c r="L44" s="205"/>
      <c r="M44" s="204">
        <f>E44-травень!E44</f>
        <v>8</v>
      </c>
      <c r="N44" s="208">
        <f>F44-травень!F44</f>
        <v>78.22000000000001</v>
      </c>
      <c r="O44" s="207">
        <f t="shared" si="11"/>
        <v>70.22000000000001</v>
      </c>
      <c r="P44" s="205">
        <f t="shared" si="8"/>
        <v>977.7500000000001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6">
        <v>4808.16</v>
      </c>
      <c r="G46" s="202">
        <f t="shared" si="9"/>
        <v>269.1399999999994</v>
      </c>
      <c r="H46" s="204">
        <f t="shared" si="7"/>
        <v>105.92947376305897</v>
      </c>
      <c r="I46" s="205">
        <f t="shared" si="10"/>
        <v>-5091.84</v>
      </c>
      <c r="J46" s="205">
        <f t="shared" si="12"/>
        <v>48.56727272727272</v>
      </c>
      <c r="K46" s="205">
        <f>F46-4927.6</f>
        <v>-119.44000000000051</v>
      </c>
      <c r="L46" s="205">
        <f>F46/4927.6*100</f>
        <v>97.5761019563276</v>
      </c>
      <c r="M46" s="204">
        <f>E46-травень!E46</f>
        <v>800.0000000000005</v>
      </c>
      <c r="N46" s="208">
        <f>F46-травень!F46</f>
        <v>750.75</v>
      </c>
      <c r="O46" s="207">
        <f t="shared" si="11"/>
        <v>-49.250000000000455</v>
      </c>
      <c r="P46" s="205">
        <f t="shared" si="8"/>
        <v>93.84374999999994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650</v>
      </c>
      <c r="F47" s="196">
        <v>65.45</v>
      </c>
      <c r="G47" s="202">
        <f t="shared" si="9"/>
        <v>-584.55</v>
      </c>
      <c r="H47" s="204">
        <f t="shared" si="7"/>
        <v>10.069230769230769</v>
      </c>
      <c r="I47" s="205">
        <f t="shared" si="10"/>
        <v>-1434.55</v>
      </c>
      <c r="J47" s="205">
        <f t="shared" si="12"/>
        <v>4.363333333333333</v>
      </c>
      <c r="K47" s="205">
        <f>F47-0</f>
        <v>65.45</v>
      </c>
      <c r="L47" s="205"/>
      <c r="M47" s="204">
        <f>E47-травень!E47</f>
        <v>130</v>
      </c>
      <c r="N47" s="208">
        <f>F47-травень!F47</f>
        <v>31.520000000000003</v>
      </c>
      <c r="O47" s="207">
        <f t="shared" si="11"/>
        <v>-98.47999999999999</v>
      </c>
      <c r="P47" s="205">
        <f t="shared" si="8"/>
        <v>24.24615384615385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20</v>
      </c>
      <c r="F48" s="196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6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6">
        <v>3008.04</v>
      </c>
      <c r="G50" s="202">
        <f t="shared" si="9"/>
        <v>-211.1500000000001</v>
      </c>
      <c r="H50" s="204">
        <f t="shared" si="7"/>
        <v>93.44089662306357</v>
      </c>
      <c r="I50" s="205">
        <f t="shared" si="10"/>
        <v>-4291.96</v>
      </c>
      <c r="J50" s="205">
        <f t="shared" si="12"/>
        <v>41.20602739726028</v>
      </c>
      <c r="K50" s="205">
        <f>F50-4033.24</f>
        <v>-1025.1999999999998</v>
      </c>
      <c r="L50" s="205">
        <f>F50/4033.24*100</f>
        <v>74.58122997887556</v>
      </c>
      <c r="M50" s="204">
        <f>E50-травень!E50</f>
        <v>666</v>
      </c>
      <c r="N50" s="208">
        <f>F50-травень!F50</f>
        <v>434.5799999999999</v>
      </c>
      <c r="O50" s="207">
        <f t="shared" si="11"/>
        <v>-231.42000000000007</v>
      </c>
      <c r="P50" s="205">
        <f t="shared" si="8"/>
        <v>65.25225225225225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71">
        <v>412.47</v>
      </c>
      <c r="G51" s="36">
        <f t="shared" si="9"/>
        <v>-139.51999999999998</v>
      </c>
      <c r="H51" s="32">
        <f t="shared" si="7"/>
        <v>74.72417978586569</v>
      </c>
      <c r="I51" s="110">
        <f t="shared" si="10"/>
        <v>-687.53</v>
      </c>
      <c r="J51" s="110">
        <f t="shared" si="12"/>
        <v>37.49727272727273</v>
      </c>
      <c r="K51" s="110">
        <f>F51-582.74</f>
        <v>-170.26999999999998</v>
      </c>
      <c r="L51" s="110">
        <f>F51/582.74*100</f>
        <v>70.78113738545493</v>
      </c>
      <c r="M51" s="111">
        <f>E51-травень!E51</f>
        <v>185</v>
      </c>
      <c r="N51" s="179">
        <f>F51-травень!F51</f>
        <v>44.920000000000016</v>
      </c>
      <c r="O51" s="112">
        <f t="shared" si="11"/>
        <v>-140.07999999999998</v>
      </c>
      <c r="P51" s="132">
        <f t="shared" si="8"/>
        <v>24.28108108108109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71">
        <v>0.23</v>
      </c>
      <c r="G52" s="36">
        <f t="shared" si="9"/>
        <v>-4.81</v>
      </c>
      <c r="H52" s="32">
        <f t="shared" si="7"/>
        <v>4.563492063492064</v>
      </c>
      <c r="I52" s="110">
        <f t="shared" si="10"/>
        <v>-44.77</v>
      </c>
      <c r="J52" s="110">
        <f t="shared" si="12"/>
        <v>0.5111111111111112</v>
      </c>
      <c r="K52" s="110">
        <f>F52-45.15</f>
        <v>-44.92</v>
      </c>
      <c r="L52" s="110">
        <f>F52/45.15*100</f>
        <v>0.5094130675526024</v>
      </c>
      <c r="M52" s="111">
        <f>E52-травень!E52</f>
        <v>1</v>
      </c>
      <c r="N52" s="179">
        <f>F52-травень!F52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71">
        <v>2595.33</v>
      </c>
      <c r="G54" s="36">
        <f t="shared" si="9"/>
        <v>-66.84000000000015</v>
      </c>
      <c r="H54" s="32">
        <f t="shared" si="7"/>
        <v>97.48926627525665</v>
      </c>
      <c r="I54" s="110">
        <f t="shared" si="10"/>
        <v>-3558.67</v>
      </c>
      <c r="J54" s="110">
        <f t="shared" si="12"/>
        <v>42.173058173545655</v>
      </c>
      <c r="K54" s="110">
        <f>F54-3404.6</f>
        <v>-809.27</v>
      </c>
      <c r="L54" s="110">
        <f>F54/3404.6*100</f>
        <v>76.2301004523292</v>
      </c>
      <c r="M54" s="111">
        <f>E54-травень!E54</f>
        <v>480</v>
      </c>
      <c r="N54" s="179">
        <f>F54-травень!F54</f>
        <v>389.65999999999985</v>
      </c>
      <c r="O54" s="112">
        <f t="shared" si="11"/>
        <v>-90.34000000000015</v>
      </c>
      <c r="P54" s="132">
        <f t="shared" si="8"/>
        <v>81.17916666666663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6">
        <v>2616.23</v>
      </c>
      <c r="G56" s="202">
        <f t="shared" si="9"/>
        <v>348.25</v>
      </c>
      <c r="H56" s="204">
        <f t="shared" si="7"/>
        <v>115.35507367789839</v>
      </c>
      <c r="I56" s="205">
        <f t="shared" si="10"/>
        <v>-2183.77</v>
      </c>
      <c r="J56" s="205">
        <f t="shared" si="12"/>
        <v>54.50479166666666</v>
      </c>
      <c r="K56" s="205">
        <f>F56-2236.15</f>
        <v>380.0799999999999</v>
      </c>
      <c r="L56" s="205">
        <f>F56/2236.15*100</f>
        <v>116.99707085839502</v>
      </c>
      <c r="M56" s="204">
        <f>E56-травень!E56</f>
        <v>400</v>
      </c>
      <c r="N56" s="208">
        <f>F56-травень!F56</f>
        <v>296.1199999999999</v>
      </c>
      <c r="O56" s="207">
        <f t="shared" si="11"/>
        <v>-103.88000000000011</v>
      </c>
      <c r="P56" s="205">
        <f t="shared" si="8"/>
        <v>74.02999999999997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581.8</v>
      </c>
      <c r="G58" s="202"/>
      <c r="H58" s="204"/>
      <c r="I58" s="205"/>
      <c r="J58" s="205"/>
      <c r="K58" s="206">
        <f>F58-577.4</f>
        <v>4.399999999999977</v>
      </c>
      <c r="L58" s="206">
        <f>F58/577.4*100</f>
        <v>100.76203671631451</v>
      </c>
      <c r="M58" s="236"/>
      <c r="N58" s="220">
        <f>F58-травень!F58</f>
        <v>103.42999999999995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6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191">
        <f>F8+F37+F61+F62</f>
        <v>449278.45</v>
      </c>
      <c r="G63" s="191">
        <f>F63-E63</f>
        <v>7532.4400000000605</v>
      </c>
      <c r="H63" s="192">
        <f>F63/E63*100</f>
        <v>101.70515179073152</v>
      </c>
      <c r="I63" s="193">
        <f>F63-D63</f>
        <v>-434622.14999999997</v>
      </c>
      <c r="J63" s="193">
        <f>F63/D63*100</f>
        <v>50.829069467765954</v>
      </c>
      <c r="K63" s="193">
        <f>F63-320998.67</f>
        <v>128279.78000000003</v>
      </c>
      <c r="L63" s="193">
        <f>F63/320998.67*100</f>
        <v>139.96271386420386</v>
      </c>
      <c r="M63" s="191">
        <f>M8+M37+M61+M62</f>
        <v>71492.59999999999</v>
      </c>
      <c r="N63" s="191">
        <f>N8+N37+N61+N62</f>
        <v>51429.16</v>
      </c>
      <c r="O63" s="195">
        <f>N63-M63</f>
        <v>-20063.439999999988</v>
      </c>
      <c r="P63" s="193">
        <f>N63/M63*100</f>
        <v>71.93634026458685</v>
      </c>
      <c r="Q63" s="28">
        <f>N63-34768</f>
        <v>16661.160000000003</v>
      </c>
      <c r="R63" s="128">
        <f>N63/34768</f>
        <v>1.4792096180395766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2">
        <v>1042.01</v>
      </c>
      <c r="G72" s="202">
        <f aca="true" t="shared" si="13" ref="G72:G82">F72-E72</f>
        <v>-370.99</v>
      </c>
      <c r="H72" s="204"/>
      <c r="I72" s="207">
        <f aca="true" t="shared" si="14" ref="I72:I82">F72-D72</f>
        <v>-3157.99</v>
      </c>
      <c r="J72" s="207">
        <f>F72/D72*100</f>
        <v>24.809761904761903</v>
      </c>
      <c r="K72" s="207">
        <f>F72-194</f>
        <v>848.01</v>
      </c>
      <c r="L72" s="207">
        <f>F72/194*100</f>
        <v>537.1185567010309</v>
      </c>
      <c r="M72" s="204">
        <f>E72-травень!E72</f>
        <v>500</v>
      </c>
      <c r="N72" s="208">
        <f>F72-травень!F72</f>
        <v>0.03999999999996362</v>
      </c>
      <c r="O72" s="207">
        <f aca="true" t="shared" si="15" ref="O72:O85">N72-M72</f>
        <v>-499.96000000000004</v>
      </c>
      <c r="P72" s="207">
        <f>N72/M72*100</f>
        <v>0.007999999999992725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2">
        <v>884.66</v>
      </c>
      <c r="G73" s="202">
        <f t="shared" si="13"/>
        <v>-1349.0500000000002</v>
      </c>
      <c r="H73" s="204">
        <f>F73/E73*100</f>
        <v>39.604962148175005</v>
      </c>
      <c r="I73" s="207">
        <f t="shared" si="14"/>
        <v>-6574.34</v>
      </c>
      <c r="J73" s="207">
        <f>F73/D73*100</f>
        <v>11.860302989676901</v>
      </c>
      <c r="K73" s="207">
        <f>F73-3257.07</f>
        <v>-2372.4100000000003</v>
      </c>
      <c r="L73" s="207">
        <f>F73/3257.07*100</f>
        <v>27.16122158872852</v>
      </c>
      <c r="M73" s="204">
        <f>E73-травень!E73</f>
        <v>282.60000000000014</v>
      </c>
      <c r="N73" s="208">
        <f>F73-травень!F73</f>
        <v>15.42999999999995</v>
      </c>
      <c r="O73" s="207">
        <f t="shared" si="15"/>
        <v>-267.1700000000002</v>
      </c>
      <c r="P73" s="207">
        <f>N73/M73*100</f>
        <v>5.46001415428165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2">
        <v>9113.79</v>
      </c>
      <c r="G74" s="202">
        <f t="shared" si="13"/>
        <v>7320.9400000000005</v>
      </c>
      <c r="H74" s="204">
        <f>F74/E74*100</f>
        <v>508.34090972474</v>
      </c>
      <c r="I74" s="207">
        <f t="shared" si="14"/>
        <v>3113.790000000001</v>
      </c>
      <c r="J74" s="207">
        <f>F74/D74*100</f>
        <v>151.8965</v>
      </c>
      <c r="K74" s="207">
        <f>F74-1818.42</f>
        <v>7295.370000000001</v>
      </c>
      <c r="L74" s="207">
        <f>F74/1818.42*100</f>
        <v>501.1927937440196</v>
      </c>
      <c r="M74" s="204">
        <f>E74-травень!E74</f>
        <v>302</v>
      </c>
      <c r="N74" s="208">
        <f>F74-травень!F74</f>
        <v>0.4000000000014552</v>
      </c>
      <c r="O74" s="207">
        <f t="shared" si="15"/>
        <v>-301.59999999999854</v>
      </c>
      <c r="P74" s="207">
        <f>N74/M74*100</f>
        <v>0.13245033112630966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2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5">
        <f>F72+F73+F74+F75</f>
        <v>11046.460000000001</v>
      </c>
      <c r="G76" s="226">
        <f t="shared" si="13"/>
        <v>5600.9000000000015</v>
      </c>
      <c r="H76" s="227">
        <f>F76/E76*100</f>
        <v>202.85259918171872</v>
      </c>
      <c r="I76" s="228">
        <f t="shared" si="14"/>
        <v>-6624.539999999999</v>
      </c>
      <c r="J76" s="228">
        <f>F76/D76*100</f>
        <v>62.51179899269991</v>
      </c>
      <c r="K76" s="228">
        <f>F76-5269.49</f>
        <v>5776.970000000001</v>
      </c>
      <c r="L76" s="228">
        <f>F76/5269.49*100</f>
        <v>209.63053350514</v>
      </c>
      <c r="M76" s="226">
        <f>M72+M73+M74+M75</f>
        <v>1085.6000000000001</v>
      </c>
      <c r="N76" s="230">
        <f>N72+N73+N74+N75</f>
        <v>16.87000000000137</v>
      </c>
      <c r="O76" s="228">
        <f t="shared" si="15"/>
        <v>-1068.7299999999987</v>
      </c>
      <c r="P76" s="228">
        <f>N76/M76*100</f>
        <v>1.5539793662492047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2">
        <v>4890.33</v>
      </c>
      <c r="G79" s="202">
        <f t="shared" si="13"/>
        <v>-226.97000000000025</v>
      </c>
      <c r="H79" s="204">
        <f>F79/E79*100</f>
        <v>95.56465323510444</v>
      </c>
      <c r="I79" s="207">
        <f t="shared" si="14"/>
        <v>-4609.67</v>
      </c>
      <c r="J79" s="207">
        <f>F79/D79*100</f>
        <v>51.477157894736834</v>
      </c>
      <c r="K79" s="207">
        <f>F79-0</f>
        <v>4890.33</v>
      </c>
      <c r="L79" s="207"/>
      <c r="M79" s="204">
        <f>E79-травень!E79</f>
        <v>0.3000000000001819</v>
      </c>
      <c r="N79" s="208">
        <f>F79-травень!F79</f>
        <v>2.5599999999994907</v>
      </c>
      <c r="O79" s="207">
        <f>N79-M79</f>
        <v>2.259999999999309</v>
      </c>
      <c r="P79" s="231">
        <f>N79/M79*100</f>
        <v>853.3333333326462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3"/>
        <v>0.69</v>
      </c>
      <c r="H80" s="204"/>
      <c r="I80" s="207">
        <f t="shared" si="14"/>
        <v>0.69</v>
      </c>
      <c r="J80" s="207"/>
      <c r="K80" s="207">
        <f>F80-1.06</f>
        <v>-0.3700000000000001</v>
      </c>
      <c r="L80" s="207">
        <f>F80/1.06*100</f>
        <v>65.09433962264151</v>
      </c>
      <c r="M80" s="204">
        <f>E80-травень!E80</f>
        <v>0</v>
      </c>
      <c r="N80" s="208">
        <f>F80-травень!F80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5">
        <f>F77+F80+F78+F79</f>
        <v>4896.21</v>
      </c>
      <c r="G81" s="224">
        <f>G77+G80+G78+G79</f>
        <v>-221.09000000000026</v>
      </c>
      <c r="H81" s="227">
        <f>F81/E81*100</f>
        <v>95.67955757919215</v>
      </c>
      <c r="I81" s="228">
        <f t="shared" si="14"/>
        <v>-4604.79</v>
      </c>
      <c r="J81" s="228">
        <f>F81/D81*100</f>
        <v>51.533628039153776</v>
      </c>
      <c r="K81" s="228">
        <f>F81-1.06</f>
        <v>4895.15</v>
      </c>
      <c r="L81" s="228">
        <f>F81/1.06*100</f>
        <v>461906.6037735849</v>
      </c>
      <c r="M81" s="226">
        <f>M77+M80+M78+M79</f>
        <v>0.3000000000001819</v>
      </c>
      <c r="N81" s="230">
        <f>N77+N80+N78+N79</f>
        <v>3.3499999999994907</v>
      </c>
      <c r="O81" s="226">
        <f>O77+O80+O78+O79</f>
        <v>3.049999999999309</v>
      </c>
      <c r="P81" s="228">
        <f>N81/M81*100</f>
        <v>1116.6666666658198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2">
        <v>11.63</v>
      </c>
      <c r="G82" s="202">
        <f t="shared" si="13"/>
        <v>-8.069999999999999</v>
      </c>
      <c r="H82" s="204">
        <f>F82/E82*100</f>
        <v>59.03553299492387</v>
      </c>
      <c r="I82" s="207">
        <f t="shared" si="14"/>
        <v>-31.369999999999997</v>
      </c>
      <c r="J82" s="207">
        <f>F82/D82*100</f>
        <v>27.046511627906977</v>
      </c>
      <c r="K82" s="207">
        <f>F82-19.94</f>
        <v>-8.31</v>
      </c>
      <c r="L82" s="207">
        <f>F82/19.94*100</f>
        <v>58.32497492477432</v>
      </c>
      <c r="M82" s="204">
        <f>E82-травень!E82</f>
        <v>5.899999999999999</v>
      </c>
      <c r="N82" s="208">
        <f>F82-травень!F82</f>
        <v>2.4400000000000013</v>
      </c>
      <c r="O82" s="207">
        <f t="shared" si="15"/>
        <v>-3.4599999999999973</v>
      </c>
      <c r="P82" s="207">
        <f>N82/M82</f>
        <v>0.4135593220338986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32">
        <f>F70+F82+F76+F81+F83</f>
        <v>15952.010000000002</v>
      </c>
      <c r="G84" s="233">
        <f>F84-E84</f>
        <v>5369.450000000003</v>
      </c>
      <c r="H84" s="234">
        <f>F84/E84*100</f>
        <v>150.73866814834977</v>
      </c>
      <c r="I84" s="235">
        <f>F84-D84</f>
        <v>-11262.989999999998</v>
      </c>
      <c r="J84" s="235">
        <f>F84/D84*100</f>
        <v>58.614771265846045</v>
      </c>
      <c r="K84" s="235">
        <f>F84-5259.67</f>
        <v>10692.340000000002</v>
      </c>
      <c r="L84" s="235">
        <f>F84/5259.67*100</f>
        <v>303.2891797394134</v>
      </c>
      <c r="M84" s="232">
        <f>M70+M82+M76+M81</f>
        <v>1091.8000000000004</v>
      </c>
      <c r="N84" s="232">
        <f>N70+N82+N76+N81+N83</f>
        <v>20.63000000000086</v>
      </c>
      <c r="O84" s="235">
        <f t="shared" si="15"/>
        <v>-1071.1699999999996</v>
      </c>
      <c r="P84" s="235">
        <f>N84/M84*100</f>
        <v>1.8895402088295339</v>
      </c>
      <c r="Q84" s="28">
        <f>N84-8104.96</f>
        <v>-8084.329999999999</v>
      </c>
      <c r="R84" s="101">
        <f>N84/8104.96</f>
        <v>0.0025453549431460314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32">
        <f>F63+F84</f>
        <v>465230.46</v>
      </c>
      <c r="G85" s="233">
        <f>F85-E85</f>
        <v>12901.890000000072</v>
      </c>
      <c r="H85" s="234">
        <f>F85/E85*100</f>
        <v>102.85232701529334</v>
      </c>
      <c r="I85" s="235">
        <f>F85-D85</f>
        <v>-445885.13999999996</v>
      </c>
      <c r="J85" s="235">
        <f>F85/D85*100</f>
        <v>51.06162818417334</v>
      </c>
      <c r="K85" s="235">
        <f>F85-320998.67-5259.67</f>
        <v>138972.12000000002</v>
      </c>
      <c r="L85" s="235">
        <f>F85/(265734.15+4325.48)*100</f>
        <v>172.26953173267697</v>
      </c>
      <c r="M85" s="233">
        <f>M63+M84</f>
        <v>72584.4</v>
      </c>
      <c r="N85" s="233">
        <f>N63+N84</f>
        <v>51449.79</v>
      </c>
      <c r="O85" s="235">
        <f t="shared" si="15"/>
        <v>-21134.609999999993</v>
      </c>
      <c r="P85" s="235">
        <f>N85/M85*100</f>
        <v>70.88271033445204</v>
      </c>
      <c r="Q85" s="28">
        <f>N85-42872.96</f>
        <v>8576.830000000002</v>
      </c>
      <c r="R85" s="101">
        <f>N85/42872.96</f>
        <v>1.200052200734449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3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6687.813333333329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42544</v>
      </c>
      <c r="D89" s="31">
        <v>2558.6</v>
      </c>
      <c r="G89" s="4" t="s">
        <v>59</v>
      </c>
      <c r="N89" s="256"/>
      <c r="O89" s="256"/>
    </row>
    <row r="90" spans="3:15" ht="15">
      <c r="C90" s="87">
        <v>42543</v>
      </c>
      <c r="D90" s="31">
        <v>4018.8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42542</v>
      </c>
      <c r="D91" s="31">
        <v>3344.6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0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 hidden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710</v>
      </c>
      <c r="F96" s="247">
        <f>F44+F47+F48</f>
        <v>228.54</v>
      </c>
      <c r="G96" s="73">
        <f>G44+G47+G48</f>
        <v>-481.4599999999999</v>
      </c>
      <c r="H96" s="74"/>
      <c r="I96" s="74"/>
      <c r="M96" s="31">
        <f>M44+M47+M48</f>
        <v>142</v>
      </c>
      <c r="N96" s="246">
        <f>N44+N47+N48</f>
        <v>110.56</v>
      </c>
      <c r="O96" s="31">
        <f>O44+O47+O48</f>
        <v>-31.439999999999976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99" ht="15">
      <c r="N99" s="31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.11811023622047245" bottom="0.11811023622047245" header="0.1968503937007874" footer="0.11811023622047245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2" sqref="B1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168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162</v>
      </c>
      <c r="N3" s="281" t="s">
        <v>163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158</v>
      </c>
      <c r="F4" s="284" t="s">
        <v>34</v>
      </c>
      <c r="G4" s="258" t="s">
        <v>159</v>
      </c>
      <c r="H4" s="266" t="s">
        <v>160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169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161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v>478.37</v>
      </c>
      <c r="G58" s="202"/>
      <c r="H58" s="204"/>
      <c r="I58" s="205"/>
      <c r="J58" s="205"/>
      <c r="K58" s="206">
        <f>F58-430.9</f>
        <v>47.47000000000003</v>
      </c>
      <c r="L58" s="206">
        <f>F58/430.9*100</f>
        <v>111.01647714086795</v>
      </c>
      <c r="M58" s="236"/>
      <c r="N58" s="220">
        <f>F58-квітень!F54</f>
        <v>91.00999999999999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56"/>
      <c r="O89" s="256"/>
    </row>
    <row r="90" spans="3:15" ht="15">
      <c r="C90" s="87">
        <v>42520</v>
      </c>
      <c r="D90" s="31">
        <v>8891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42517</v>
      </c>
      <c r="D91" s="31">
        <v>7356.3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2811.04042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156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153</v>
      </c>
      <c r="N3" s="281" t="s">
        <v>154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150</v>
      </c>
      <c r="F4" s="284" t="s">
        <v>34</v>
      </c>
      <c r="G4" s="258" t="s">
        <v>151</v>
      </c>
      <c r="H4" s="266" t="s">
        <v>152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157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155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3"/>
      <c r="H84" s="263"/>
      <c r="I84" s="263"/>
      <c r="J84" s="263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56"/>
      <c r="O85" s="256"/>
    </row>
    <row r="86" spans="3:15" ht="15">
      <c r="C86" s="87">
        <v>42488</v>
      </c>
      <c r="D86" s="31">
        <v>11419.7</v>
      </c>
      <c r="F86" s="124" t="s">
        <v>59</v>
      </c>
      <c r="G86" s="250"/>
      <c r="H86" s="250"/>
      <c r="I86" s="131"/>
      <c r="J86" s="253"/>
      <c r="K86" s="253"/>
      <c r="L86" s="253"/>
      <c r="M86" s="253"/>
      <c r="N86" s="256"/>
      <c r="O86" s="256"/>
    </row>
    <row r="87" spans="3:15" ht="15.75" customHeight="1">
      <c r="C87" s="87">
        <v>42487</v>
      </c>
      <c r="D87" s="31">
        <v>7800.7</v>
      </c>
      <c r="F87" s="73"/>
      <c r="G87" s="250"/>
      <c r="H87" s="250"/>
      <c r="I87" s="131"/>
      <c r="J87" s="257"/>
      <c r="K87" s="257"/>
      <c r="L87" s="257"/>
      <c r="M87" s="257"/>
      <c r="N87" s="256"/>
      <c r="O87" s="256"/>
    </row>
    <row r="88" spans="3:13" ht="15.75" customHeight="1">
      <c r="C88" s="87"/>
      <c r="F88" s="73"/>
      <c r="G88" s="252"/>
      <c r="H88" s="252"/>
      <c r="I88" s="139"/>
      <c r="J88" s="253"/>
      <c r="K88" s="253"/>
      <c r="L88" s="253"/>
      <c r="M88" s="253"/>
    </row>
    <row r="89" spans="2:13" ht="18.75" customHeight="1">
      <c r="B89" s="254" t="s">
        <v>57</v>
      </c>
      <c r="C89" s="255"/>
      <c r="D89" s="148">
        <v>9087.9705</v>
      </c>
      <c r="E89" s="74"/>
      <c r="F89" s="140" t="s">
        <v>137</v>
      </c>
      <c r="G89" s="250"/>
      <c r="H89" s="250"/>
      <c r="I89" s="141"/>
      <c r="J89" s="253"/>
      <c r="K89" s="253"/>
      <c r="L89" s="253"/>
      <c r="M89" s="253"/>
    </row>
    <row r="90" spans="6:12" ht="9.75" customHeight="1">
      <c r="F90" s="73"/>
      <c r="G90" s="250"/>
      <c r="H90" s="250"/>
      <c r="I90" s="73"/>
      <c r="J90" s="74"/>
      <c r="K90" s="74"/>
      <c r="L90" s="74"/>
    </row>
    <row r="91" spans="2:12" ht="22.5" customHeight="1" hidden="1">
      <c r="B91" s="248" t="s">
        <v>60</v>
      </c>
      <c r="C91" s="249"/>
      <c r="D91" s="86">
        <v>0</v>
      </c>
      <c r="E91" s="56" t="s">
        <v>24</v>
      </c>
      <c r="F91" s="73"/>
      <c r="G91" s="250"/>
      <c r="H91" s="25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50"/>
      <c r="O92" s="250"/>
    </row>
    <row r="93" spans="4:15" ht="15">
      <c r="D93" s="83"/>
      <c r="I93" s="31"/>
      <c r="N93" s="251"/>
      <c r="O93" s="251"/>
    </row>
    <row r="94" spans="14:15" ht="15">
      <c r="N94" s="250"/>
      <c r="O94" s="250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148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147</v>
      </c>
      <c r="N3" s="281" t="s">
        <v>143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146</v>
      </c>
      <c r="F4" s="284" t="s">
        <v>34</v>
      </c>
      <c r="G4" s="258" t="s">
        <v>141</v>
      </c>
      <c r="H4" s="266" t="s">
        <v>142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144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56"/>
      <c r="O84" s="256"/>
    </row>
    <row r="85" spans="3:15" ht="15">
      <c r="C85" s="87">
        <v>42459</v>
      </c>
      <c r="D85" s="31">
        <v>7576.3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42458</v>
      </c>
      <c r="D86" s="31">
        <v>9190.1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f>4343.7</f>
        <v>4343.7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139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128</v>
      </c>
      <c r="N3" s="281" t="s">
        <v>119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127</v>
      </c>
      <c r="F4" s="284" t="s">
        <v>34</v>
      </c>
      <c r="G4" s="258" t="s">
        <v>116</v>
      </c>
      <c r="H4" s="266" t="s">
        <v>117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140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118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56"/>
      <c r="O84" s="256"/>
    </row>
    <row r="85" spans="3:15" ht="15">
      <c r="C85" s="87">
        <v>42426</v>
      </c>
      <c r="D85" s="31">
        <v>6256.2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42425</v>
      </c>
      <c r="D86" s="31">
        <v>3536.9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505.3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135</v>
      </c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132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129</v>
      </c>
      <c r="F4" s="284" t="s">
        <v>34</v>
      </c>
      <c r="G4" s="258" t="s">
        <v>130</v>
      </c>
      <c r="H4" s="266" t="s">
        <v>131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88" t="s">
        <v>133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134</v>
      </c>
      <c r="L5" s="262"/>
      <c r="M5" s="267"/>
      <c r="N5" s="28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56"/>
      <c r="O84" s="256"/>
    </row>
    <row r="85" spans="3:15" ht="15">
      <c r="C85" s="87">
        <v>42397</v>
      </c>
      <c r="D85" s="31">
        <v>8685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42396</v>
      </c>
      <c r="D86" s="31">
        <v>4820.3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300.92</v>
      </c>
      <c r="E88" s="74"/>
      <c r="F88" s="140"/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136</v>
      </c>
      <c r="C3" s="275" t="s">
        <v>0</v>
      </c>
      <c r="D3" s="276" t="s">
        <v>115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107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104</v>
      </c>
      <c r="F4" s="290" t="s">
        <v>34</v>
      </c>
      <c r="G4" s="258" t="s">
        <v>109</v>
      </c>
      <c r="H4" s="266" t="s">
        <v>110</v>
      </c>
      <c r="I4" s="258" t="s">
        <v>105</v>
      </c>
      <c r="J4" s="266" t="s">
        <v>106</v>
      </c>
      <c r="K4" s="91" t="s">
        <v>65</v>
      </c>
      <c r="L4" s="96" t="s">
        <v>64</v>
      </c>
      <c r="M4" s="266"/>
      <c r="N4" s="288" t="s">
        <v>103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6.5" customHeight="1">
      <c r="A5" s="273"/>
      <c r="B5" s="274"/>
      <c r="C5" s="275"/>
      <c r="D5" s="276"/>
      <c r="E5" s="283"/>
      <c r="F5" s="291"/>
      <c r="G5" s="259"/>
      <c r="H5" s="267"/>
      <c r="I5" s="259"/>
      <c r="J5" s="267"/>
      <c r="K5" s="261" t="s">
        <v>108</v>
      </c>
      <c r="L5" s="262"/>
      <c r="M5" s="267"/>
      <c r="N5" s="289"/>
      <c r="O5" s="259"/>
      <c r="P5" s="260"/>
      <c r="Q5" s="261" t="s">
        <v>126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3"/>
      <c r="H82" s="263"/>
      <c r="I82" s="263"/>
      <c r="J82" s="263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56"/>
      <c r="O83" s="256"/>
    </row>
    <row r="84" spans="3:15" ht="15">
      <c r="C84" s="87">
        <v>42397</v>
      </c>
      <c r="D84" s="31">
        <v>8685</v>
      </c>
      <c r="F84" s="166" t="s">
        <v>59</v>
      </c>
      <c r="G84" s="250"/>
      <c r="H84" s="250"/>
      <c r="I84" s="131"/>
      <c r="J84" s="253"/>
      <c r="K84" s="253"/>
      <c r="L84" s="253"/>
      <c r="M84" s="253"/>
      <c r="N84" s="256"/>
      <c r="O84" s="256"/>
    </row>
    <row r="85" spans="3:15" ht="15.75" customHeight="1">
      <c r="C85" s="87">
        <v>42396</v>
      </c>
      <c r="D85" s="31">
        <v>4820.3</v>
      </c>
      <c r="F85" s="167"/>
      <c r="G85" s="250"/>
      <c r="H85" s="250"/>
      <c r="I85" s="131"/>
      <c r="J85" s="257"/>
      <c r="K85" s="257"/>
      <c r="L85" s="257"/>
      <c r="M85" s="257"/>
      <c r="N85" s="256"/>
      <c r="O85" s="256"/>
    </row>
    <row r="86" spans="3:13" ht="15.75" customHeight="1">
      <c r="C86" s="87"/>
      <c r="F86" s="167"/>
      <c r="G86" s="252"/>
      <c r="H86" s="252"/>
      <c r="I86" s="139"/>
      <c r="J86" s="253"/>
      <c r="K86" s="253"/>
      <c r="L86" s="253"/>
      <c r="M86" s="253"/>
    </row>
    <row r="87" spans="2:13" ht="18.75" customHeight="1">
      <c r="B87" s="254" t="s">
        <v>57</v>
      </c>
      <c r="C87" s="255"/>
      <c r="D87" s="148">
        <v>300.92</v>
      </c>
      <c r="E87" s="74"/>
      <c r="F87" s="168"/>
      <c r="G87" s="250"/>
      <c r="H87" s="250"/>
      <c r="I87" s="141"/>
      <c r="J87" s="253"/>
      <c r="K87" s="253"/>
      <c r="L87" s="253"/>
      <c r="M87" s="253"/>
    </row>
    <row r="88" spans="6:12" ht="9.75" customHeight="1">
      <c r="F88" s="167"/>
      <c r="G88" s="250"/>
      <c r="H88" s="250"/>
      <c r="I88" s="73"/>
      <c r="J88" s="74"/>
      <c r="K88" s="74"/>
      <c r="L88" s="74"/>
    </row>
    <row r="89" spans="2:12" ht="22.5" customHeight="1" hidden="1">
      <c r="B89" s="248" t="s">
        <v>60</v>
      </c>
      <c r="C89" s="249"/>
      <c r="D89" s="86">
        <v>0</v>
      </c>
      <c r="E89" s="56" t="s">
        <v>24</v>
      </c>
      <c r="F89" s="167"/>
      <c r="G89" s="250"/>
      <c r="H89" s="25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50"/>
      <c r="O90" s="250"/>
    </row>
    <row r="91" spans="4:15" ht="15">
      <c r="D91" s="83"/>
      <c r="I91" s="31"/>
      <c r="N91" s="251"/>
      <c r="O91" s="251"/>
    </row>
    <row r="92" spans="14:15" ht="15">
      <c r="N92" s="250"/>
      <c r="O92" s="250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2016-06-24T11:48:27Z</cp:lastPrinted>
  <dcterms:created xsi:type="dcterms:W3CDTF">2003-07-28T11:27:56Z</dcterms:created>
  <dcterms:modified xsi:type="dcterms:W3CDTF">2016-06-24T11:58:26Z</dcterms:modified>
  <cp:category/>
  <cp:version/>
  <cp:contentType/>
  <cp:contentStatus/>
</cp:coreProperties>
</file>